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<sst xmlns="http://schemas.openxmlformats.org/spreadsheetml/2006/main" count="126" uniqueCount="123">
  <si>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</si>
  <si>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</si>
  <si>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</si>
  <si>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</si>
  <si>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</si>
  <si>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</si>
  <si>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</si>
  <si>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</si>
  <si>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</si>
  <si>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</si>
  <si>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</si>
  <si>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</si>
  <si>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</si>
  <si>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</si>
  <si>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</si>
  <si>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</si>
  <si>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</si>
  <si>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</si>
  <si>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</si>
  <si>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</si>
  <si>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</si>
  <si>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</si>
  <si>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</si>
  <si>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</si>
  <si>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</si>
  <si>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</si>
  <si>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</si>
  <si>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</si>
  <si>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</si>
  <si>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</si>
  <si>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</si>
  <si>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</si>
  <si>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</si>
  <si>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</si>
  <si>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</si>
  <si>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</si>
  <si>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</si>
  <si>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</si>
  <si>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</si>
  <si>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</si>
  <si>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</si>
  <si>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</si>
  <si>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</si>
  <si>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</si>
  <si>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</si>
  <si>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</si>
  <si>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</si>
  <si>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</si>
  <si>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</si>
  <si>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</si>
  <si>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</si>
  <si>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</si>
  <si>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</si>
  <si>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</si>
  <si>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</si>
  <si>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</si>
  <si>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</si>
  <si>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</si>
  <si>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</si>
  <si>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</si>
  <si>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</si>
  <si>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</si>
  <si>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</si>
  <si>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</si>
  <si>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</si>
  <si>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</si>
  <si>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</si>
  <si>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</si>
  <si>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</si>
  <si>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</si>
  <si>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</si>
  <si>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</si>
  <si>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</si>
  <si>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</si>
  <si>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</si>
  <si>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</si>
  <si>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</si>
  <si>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</si>
  <si>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</si>
  <si>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</si>
  <si>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</si>
  <si>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</si>
  <si>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</si>
  <si>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</si>
  <si>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</si>
  <si>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</si>
  <si>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</si>
  <si>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</si>
  <si>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</si>
  <si>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</si>
  <si>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</si>
  <si>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</si>
  <si>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</si>
  <si>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</si>
  <si>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</si>
  <si>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</si>
  <si>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</si>
  <si>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</si>
  <si>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</si>
  <si>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</si>
  <si>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</si>
  <si>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</si>
  <si>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</si>
  <si>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</si>
  <si>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</si>
  <si>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</si>
  <si>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</si>
  <si>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</si>
  <si>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</si>
  <si>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</si>
  <si>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</si>
  <si>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</si>
  <si>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</si>
  <si>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</si>
  <si>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</si>
  <si>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</si>
  <si>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</si>
  <si>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</si>
  <si>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</si>
  <si>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</si>
  <si>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</si>
  <si>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Залишок призначень до плану 6 місяців</t>
  </si>
  <si>
    <t>Профінансовано станом на 30.06.2016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</si>
</sst>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C1">
      <pane ySplit="7" topLeftCell="BM8" activePane="bottomLeft" state="frozen"/>
      <selection pane="topLeft" activeCell="A1" sqref="A1"/>
      <selection pane="bottomLef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16384" width="9.33203125" style="7" customWidth="1"/>
  </cols>
  <sheetData>
    <row r="1" spans="1:8" ht="21" customHeight="1">
      <c r="A1" s="90" t="s">
        <v>11</v>
      </c>
      <c r="B1" s="90"/>
      <c r="C1" s="90"/>
      <c r="D1" s="90"/>
      <c r="E1" s="90"/>
      <c r="F1" s="90"/>
      <c r="G1" s="90"/>
      <c r="H1" s="90"/>
    </row>
    <row r="2" spans="1:8" ht="20.25" customHeight="1">
      <c r="A2" s="91" t="s">
        <v>12</v>
      </c>
      <c r="B2" s="91"/>
      <c r="C2" s="91"/>
      <c r="D2" s="91"/>
      <c r="E2" s="91"/>
      <c r="F2" s="91"/>
      <c r="G2" s="91"/>
      <c r="H2" s="91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3" t="s">
        <v>8</v>
      </c>
      <c r="B4" s="12"/>
      <c r="C4" s="93" t="s">
        <v>14</v>
      </c>
      <c r="D4" s="92" t="s">
        <v>15</v>
      </c>
      <c r="E4" s="92" t="s">
        <v>0</v>
      </c>
      <c r="F4" s="92" t="s">
        <v>1</v>
      </c>
      <c r="G4" s="14" t="s">
        <v>2</v>
      </c>
      <c r="H4" s="92" t="s">
        <v>122</v>
      </c>
      <c r="I4" s="82" t="s">
        <v>42</v>
      </c>
      <c r="J4" s="82" t="s">
        <v>112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93"/>
      <c r="B5" s="15" t="s">
        <v>9</v>
      </c>
      <c r="C5" s="93"/>
      <c r="D5" s="92"/>
      <c r="E5" s="92"/>
      <c r="F5" s="92"/>
      <c r="G5" s="13" t="s">
        <v>7</v>
      </c>
      <c r="H5" s="92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53"/>
    </row>
    <row r="7" spans="1:25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47736363.39</v>
      </c>
      <c r="I8" s="73">
        <f>H8/D8*100</f>
        <v>39.7504837147629</v>
      </c>
      <c r="J8" s="75"/>
      <c r="K8" s="70">
        <f aca="true" t="shared" si="0" ref="K8:X8">K9+K15</f>
        <v>6970499.179999999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16628478.580000002</v>
      </c>
      <c r="I9" s="23">
        <f>H9/D9*100</f>
        <v>53.404894907718955</v>
      </c>
      <c r="J9" s="77">
        <f>(H10+H12+H13+H14)/(L9+M9+N9+O9+P9)*100</f>
        <v>91.82951978777024</v>
      </c>
      <c r="K9" s="23">
        <f>L9+M9+N9+O9+P9+Q9-H10-H11-H12-H13-H14</f>
        <v>4664562.219999998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</f>
        <v>8383201.6400000015</v>
      </c>
      <c r="I10" s="50">
        <f>H10/D10*100</f>
        <v>61.19571968756845</v>
      </c>
      <c r="J10" s="76"/>
      <c r="K10" s="55">
        <f>E10-H10</f>
        <v>5315798.3599999985</v>
      </c>
      <c r="Y10" s="81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50">
        <f aca="true" t="shared" si="1" ref="I12:I22">H12/D12*100</f>
        <v>77.82888064246436</v>
      </c>
      <c r="J12" s="76"/>
      <c r="K12" s="55">
        <f>E12-H12</f>
        <v>596501.2800000003</v>
      </c>
      <c r="Y12" s="81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50">
        <f t="shared" si="1"/>
        <v>38.36555</v>
      </c>
      <c r="J13" s="76"/>
      <c r="K13" s="55">
        <f>E13-H13</f>
        <v>1232689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5309524.4399999995</v>
      </c>
      <c r="I15" s="50">
        <f t="shared" si="1"/>
        <v>44.298826434834844</v>
      </c>
      <c r="J15" s="77">
        <f>H15/(L15+M15+N15+O15+P15)*100</f>
        <v>92.23150827135376</v>
      </c>
      <c r="K15" s="56">
        <f>L15+M15+N15+O15+P15+Q15-H15</f>
        <v>2305936.960000001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</f>
        <v>2297713.74</v>
      </c>
      <c r="I16" s="51">
        <f>H16/D16*100</f>
        <v>56.1307863686332</v>
      </c>
      <c r="J16" s="78"/>
      <c r="K16" s="69"/>
      <c r="Y16" s="81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1">
        <f>H17/D17*100</f>
        <v>47.38830993317816</v>
      </c>
      <c r="J17" s="78"/>
      <c r="K17" s="69"/>
      <c r="Y17" s="81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</f>
        <v>450198.38</v>
      </c>
      <c r="I19" s="51">
        <f t="shared" si="1"/>
        <v>54.9625662312294</v>
      </c>
      <c r="J19" s="78"/>
      <c r="K19" s="69"/>
      <c r="Y19" s="81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1">
        <f t="shared" si="1"/>
        <v>10.338835768038955</v>
      </c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1">
        <f t="shared" si="1"/>
        <v>2.5264381270903007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31107884.810000002</v>
      </c>
      <c r="I23" s="49">
        <f>H23/D23*100</f>
        <v>34.970990215101395</v>
      </c>
      <c r="J23" s="79">
        <f>H23/(L23+M23+N23+O23+P23)*100</f>
        <v>90.87694092500787</v>
      </c>
      <c r="K23" s="56">
        <f>L23+M23+N23+O23+P23+Q23-H23</f>
        <v>6777129.57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3654235.38</v>
      </c>
      <c r="R23" s="68">
        <f t="shared" si="3"/>
        <v>20683192.62</v>
      </c>
      <c r="S23" s="68">
        <f t="shared" si="3"/>
        <v>9224927</v>
      </c>
      <c r="T23" s="68">
        <f t="shared" si="3"/>
        <v>2446582.25</v>
      </c>
      <c r="U23" s="68">
        <f t="shared" si="3"/>
        <v>9634229.57</v>
      </c>
      <c r="V23" s="68">
        <f t="shared" si="3"/>
        <v>4831115.18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aca="true" t="shared" si="7" ref="K25:K48">L25+M25+N25+O25+P25+Q25-H25</f>
        <v>0</v>
      </c>
      <c r="L25" s="57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9"/>
      <c r="J26" s="79"/>
      <c r="K26" s="56">
        <f t="shared" si="7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7"/>
        <v>0</v>
      </c>
      <c r="L27" s="57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</f>
        <v>35000</v>
      </c>
      <c r="I28" s="50">
        <f>H28/D28*100</f>
        <v>10.9375</v>
      </c>
      <c r="J28" s="79">
        <f t="shared" si="4"/>
        <v>10.9375</v>
      </c>
      <c r="K28" s="56">
        <f t="shared" si="7"/>
        <v>185000</v>
      </c>
      <c r="L28" s="57"/>
      <c r="M28" s="45"/>
      <c r="N28" s="45">
        <v>120000</v>
      </c>
      <c r="O28" s="45">
        <v>200000</v>
      </c>
      <c r="P28" s="45"/>
      <c r="Q28" s="45">
        <f>-100000</f>
        <v>-100000</v>
      </c>
      <c r="R28" s="45"/>
      <c r="S28" s="45">
        <f>100000</f>
        <v>100000</v>
      </c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</f>
        <v>35000</v>
      </c>
      <c r="I29" s="50">
        <f>H29/D29*100</f>
        <v>14.000000000000002</v>
      </c>
      <c r="J29" s="79">
        <f t="shared" si="4"/>
        <v>14.000000000000002</v>
      </c>
      <c r="K29" s="56">
        <f t="shared" si="7"/>
        <v>135000</v>
      </c>
      <c r="L29" s="57"/>
      <c r="M29" s="45"/>
      <c r="N29" s="45">
        <v>250000</v>
      </c>
      <c r="O29" s="45"/>
      <c r="P29" s="45"/>
      <c r="Q29" s="45">
        <f>-80000</f>
        <v>-80000</v>
      </c>
      <c r="R29" s="45"/>
      <c r="S29" s="45">
        <f>80000</f>
        <v>80000</v>
      </c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115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50"/>
      <c r="J30" s="79"/>
      <c r="K30" s="56">
        <f t="shared" si="7"/>
        <v>500000</v>
      </c>
      <c r="L30" s="57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9"/>
      <c r="J31" s="79"/>
      <c r="K31" s="56">
        <f t="shared" si="7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58" t="s">
        <v>113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v>14000</v>
      </c>
      <c r="I32" s="50">
        <f>H32/D32*100</f>
        <v>2</v>
      </c>
      <c r="J32" s="79">
        <f t="shared" si="4"/>
        <v>7.000000000000001</v>
      </c>
      <c r="K32" s="56">
        <f t="shared" si="7"/>
        <v>332801.38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50"/>
      <c r="J33" s="79">
        <f t="shared" si="4"/>
        <v>0</v>
      </c>
      <c r="K33" s="56">
        <f t="shared" si="7"/>
        <v>0</v>
      </c>
      <c r="L33" s="57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7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7"/>
        <v>0</v>
      </c>
      <c r="L35" s="57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7"/>
        <v>20000</v>
      </c>
      <c r="L36" s="57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7"/>
        <v>0</v>
      </c>
      <c r="L37" s="57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</f>
        <v>600000</v>
      </c>
      <c r="I38" s="50">
        <f aca="true" t="shared" si="10" ref="I38:I44">H38/D38*100</f>
        <v>2.608695652173913</v>
      </c>
      <c r="J38" s="79">
        <f t="shared" si="4"/>
        <v>100</v>
      </c>
      <c r="K38" s="56">
        <f t="shared" si="7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50">
        <f t="shared" si="10"/>
        <v>7.8412655120687305</v>
      </c>
      <c r="J39" s="79">
        <f t="shared" si="4"/>
        <v>8.973158551810236</v>
      </c>
      <c r="K39" s="56">
        <f t="shared" si="7"/>
        <v>566600</v>
      </c>
      <c r="L39" s="57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</f>
        <v>16059756.460000003</v>
      </c>
      <c r="I40" s="50">
        <f t="shared" si="10"/>
        <v>73.38234912981655</v>
      </c>
      <c r="J40" s="79">
        <f t="shared" si="4"/>
        <v>161.86801811376955</v>
      </c>
      <c r="K40" s="56">
        <f>L40+M40+N40+O40+P40+Q40-H40</f>
        <v>2380756.5399999972</v>
      </c>
      <c r="L40" s="57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</f>
        <v>362100</v>
      </c>
      <c r="S40" s="45">
        <f>1177427</f>
        <v>1177427</v>
      </c>
      <c r="T40" s="45">
        <f>1073488.25</f>
        <v>1073488.25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50">
        <f t="shared" si="10"/>
        <v>71.44200000000001</v>
      </c>
      <c r="J41" s="79">
        <f t="shared" si="4"/>
        <v>89.3025</v>
      </c>
      <c r="K41" s="56">
        <f t="shared" si="7"/>
        <v>0</v>
      </c>
      <c r="L41" s="57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</f>
        <v>3668000</v>
      </c>
      <c r="I42" s="50">
        <f t="shared" si="10"/>
        <v>73.36</v>
      </c>
      <c r="J42" s="79">
        <f t="shared" si="4"/>
        <v>91.7</v>
      </c>
      <c r="K42" s="56">
        <f t="shared" si="7"/>
        <v>0</v>
      </c>
      <c r="L42" s="57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58" t="s">
        <v>114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</f>
        <v>57000</v>
      </c>
      <c r="I43" s="50">
        <f t="shared" si="10"/>
        <v>3.8</v>
      </c>
      <c r="J43" s="79"/>
      <c r="K43" s="56">
        <f t="shared" si="7"/>
        <v>943000</v>
      </c>
      <c r="L43" s="57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7">
        <f t="shared" si="8"/>
        <v>1500000</v>
      </c>
      <c r="Y43" s="81">
        <f t="shared" si="9"/>
        <v>0</v>
      </c>
    </row>
    <row r="44" spans="1:25" ht="42" customHeight="1">
      <c r="A44" s="1"/>
      <c r="B44" s="21"/>
      <c r="C44" s="58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50">
        <f t="shared" si="10"/>
        <v>61.42857142857143</v>
      </c>
      <c r="J44" s="79">
        <f t="shared" si="4"/>
        <v>61.42857142857143</v>
      </c>
      <c r="K44" s="56">
        <f t="shared" si="7"/>
        <v>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.75">
      <c r="A45" s="1"/>
      <c r="B45" s="21"/>
      <c r="C45" s="58" t="s">
        <v>117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50"/>
      <c r="J45" s="79"/>
      <c r="K45" s="56">
        <f t="shared" si="7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</f>
        <v>5252355.35</v>
      </c>
      <c r="I46" s="50">
        <f>H46/D46*100</f>
        <v>78.39336343283581</v>
      </c>
      <c r="J46" s="79">
        <f t="shared" si="4"/>
        <v>78.39336343283581</v>
      </c>
      <c r="K46" s="56">
        <f t="shared" si="7"/>
        <v>1447644.6500000004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7"/>
        <v>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4">
        <f>879000</f>
        <v>879000</v>
      </c>
      <c r="S47" s="64">
        <f>1869000</f>
        <v>1869000</v>
      </c>
      <c r="T47" s="64"/>
      <c r="U47" s="64">
        <f>2134334</f>
        <v>2134334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7"/>
        <v>193.99999999976717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-827666</f>
        <v>-827666</v>
      </c>
      <c r="R48" s="64">
        <f>400000+512000+201333+375000</f>
        <v>1488333</v>
      </c>
      <c r="S48" s="64">
        <f>3021500</f>
        <v>3021500</v>
      </c>
      <c r="T48" s="64">
        <f>1113334</f>
        <v>1113334</v>
      </c>
      <c r="U48" s="64">
        <f>91754.25</f>
        <v>91754.25</v>
      </c>
      <c r="V48" s="64">
        <f>1211744.75</f>
        <v>1211744.75</v>
      </c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4" t="s">
        <v>30</v>
      </c>
      <c r="B49" s="85"/>
      <c r="C49" s="85"/>
      <c r="D49" s="85"/>
      <c r="E49" s="85"/>
      <c r="F49" s="85"/>
      <c r="G49" s="85"/>
      <c r="H49" s="85"/>
      <c r="I49" s="85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17007526.779999997</v>
      </c>
      <c r="I50" s="71">
        <f>H50/D50*100</f>
        <v>22.65063571973858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17007526.779999997</v>
      </c>
      <c r="I51" s="52">
        <f>H51/D51*100</f>
        <v>22.65063571973858</v>
      </c>
      <c r="J51" s="79">
        <f>H51/(L51+M51+N51+O51+P51)*100</f>
        <v>124.73895489303986</v>
      </c>
      <c r="K51" s="56">
        <f>L51+M51+N51+O51+P51+Q51-H51</f>
        <v>10756198.390000004</v>
      </c>
      <c r="L51" s="66">
        <f>SUM(L52:L101)</f>
        <v>0</v>
      </c>
      <c r="M51" s="66">
        <f aca="true" t="shared" si="11" ref="M51:X51">SUM(M52:M101)</f>
        <v>2416000</v>
      </c>
      <c r="N51" s="66">
        <f>SUM(N52:N101)</f>
        <v>3584000</v>
      </c>
      <c r="O51" s="66">
        <f t="shared" si="11"/>
        <v>640500</v>
      </c>
      <c r="P51" s="66">
        <f t="shared" si="11"/>
        <v>6993995.17</v>
      </c>
      <c r="Q51" s="66">
        <f t="shared" si="11"/>
        <v>14129230</v>
      </c>
      <c r="R51" s="66">
        <f t="shared" si="11"/>
        <v>10474000</v>
      </c>
      <c r="S51" s="66">
        <f t="shared" si="11"/>
        <v>9585470.26</v>
      </c>
      <c r="T51" s="66">
        <f t="shared" si="11"/>
        <v>2874428.61</v>
      </c>
      <c r="U51" s="66">
        <f t="shared" si="11"/>
        <v>9176786.91</v>
      </c>
      <c r="V51" s="66">
        <f t="shared" si="11"/>
        <v>11647784.219999999</v>
      </c>
      <c r="W51" s="66">
        <f>SUM(W52:W101)</f>
        <v>3564115.83</v>
      </c>
      <c r="X51" s="66">
        <f t="shared" si="11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4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50"/>
      <c r="J53" s="79"/>
      <c r="K53" s="56">
        <f t="shared" si="14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5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50"/>
      <c r="J54" s="79"/>
      <c r="K54" s="56">
        <f t="shared" si="14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5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50"/>
      <c r="J55" s="79"/>
      <c r="K55" s="56">
        <f t="shared" si="14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5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50"/>
      <c r="J56" s="79"/>
      <c r="K56" s="56">
        <f t="shared" si="14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5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/>
      <c r="I57" s="50"/>
      <c r="J57" s="79"/>
      <c r="K57" s="56">
        <f t="shared" si="14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5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50"/>
      <c r="J58" s="79"/>
      <c r="K58" s="56">
        <f t="shared" si="14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5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116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</f>
        <v>553277.5</v>
      </c>
      <c r="I59" s="50">
        <f>H59/D59*100</f>
        <v>46.887923728813554</v>
      </c>
      <c r="J59" s="79"/>
      <c r="K59" s="56">
        <f>L59+M59+N59+O59+P59+Q59-H59</f>
        <v>176722.5</v>
      </c>
      <c r="L59" s="64"/>
      <c r="M59" s="64"/>
      <c r="N59" s="64"/>
      <c r="O59" s="64"/>
      <c r="P59" s="65">
        <f>30000-30000+30000</f>
        <v>30000</v>
      </c>
      <c r="Q59" s="65">
        <v>700000</v>
      </c>
      <c r="R59" s="65"/>
      <c r="S59" s="65">
        <f>300000-200000</f>
        <v>100000</v>
      </c>
      <c r="T59" s="65">
        <v>300000</v>
      </c>
      <c r="U59" s="65">
        <f>520000-500000</f>
        <v>20000</v>
      </c>
      <c r="V59" s="65"/>
      <c r="W59" s="65">
        <f>30000</f>
        <v>30000</v>
      </c>
      <c r="X59" s="64">
        <f t="shared" si="15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50" t="e">
        <f>H60/D60*100</f>
        <v>#DIV/0!</v>
      </c>
      <c r="J60" s="79"/>
      <c r="K60" s="56">
        <f t="shared" si="14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5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50"/>
      <c r="J61" s="79"/>
      <c r="K61" s="56">
        <f t="shared" si="14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5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50"/>
      <c r="J62" s="79"/>
      <c r="K62" s="56">
        <f t="shared" si="14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5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4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5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119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4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5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120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4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5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50"/>
      <c r="J66" s="79"/>
      <c r="K66" s="56">
        <f t="shared" si="14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5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4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5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50"/>
      <c r="J68" s="79"/>
      <c r="K68" s="56">
        <f t="shared" si="14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5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4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5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4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5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50"/>
      <c r="J71" s="79"/>
      <c r="K71" s="56">
        <f t="shared" si="14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5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/>
      <c r="I72" s="50"/>
      <c r="J72" s="79"/>
      <c r="K72" s="56">
        <f t="shared" si="14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5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4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5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/>
      <c r="I74" s="50"/>
      <c r="J74" s="79"/>
      <c r="K74" s="56">
        <f t="shared" si="14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5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50"/>
      <c r="J75" s="79"/>
      <c r="K75" s="56">
        <f t="shared" si="14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5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50"/>
      <c r="J76" s="79"/>
      <c r="K76" s="56">
        <f t="shared" si="14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5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50"/>
      <c r="J77" s="79"/>
      <c r="K77" s="56">
        <f t="shared" si="14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5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50"/>
      <c r="J78" s="79"/>
      <c r="K78" s="56">
        <f t="shared" si="14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5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4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5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</f>
        <v>1478400.16</v>
      </c>
      <c r="I80" s="50">
        <f>H80/D80*100</f>
        <v>48.472136393442625</v>
      </c>
      <c r="J80" s="79">
        <f>H80/(L80+M80+N80+O80+P80)*100</f>
        <v>96.94427278688525</v>
      </c>
      <c r="K80" s="56">
        <f t="shared" si="14"/>
        <v>463408.8400000001</v>
      </c>
      <c r="L80" s="64"/>
      <c r="M80" s="64"/>
      <c r="N80" s="64">
        <v>754000</v>
      </c>
      <c r="O80" s="64">
        <v>7000</v>
      </c>
      <c r="P80" s="64">
        <v>764000</v>
      </c>
      <c r="Q80" s="64">
        <f>1255000-838191</f>
        <v>416809</v>
      </c>
      <c r="R80" s="64"/>
      <c r="S80" s="64"/>
      <c r="T80" s="64">
        <f>270000+150850</f>
        <v>420850</v>
      </c>
      <c r="U80" s="64">
        <f>687341</f>
        <v>687341</v>
      </c>
      <c r="V80" s="64"/>
      <c r="W80" s="64"/>
      <c r="X80" s="64">
        <f t="shared" si="15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50">
        <f>H81/D81*100</f>
        <v>98.92367106154774</v>
      </c>
      <c r="J81" s="79"/>
      <c r="K81" s="56">
        <f t="shared" si="14"/>
        <v>31624.600000000093</v>
      </c>
      <c r="L81" s="64"/>
      <c r="M81" s="64"/>
      <c r="N81" s="64">
        <v>7000</v>
      </c>
      <c r="O81" s="64">
        <v>-7000</v>
      </c>
      <c r="P81" s="64"/>
      <c r="Q81" s="64">
        <f>3315950+2000000-3315950+100000+838191</f>
        <v>2938191</v>
      </c>
      <c r="R81" s="64"/>
      <c r="S81" s="64"/>
      <c r="T81" s="64">
        <f>1000000-749150-100000-150850</f>
        <v>0</v>
      </c>
      <c r="U81" s="64">
        <f>1000000-1000000</f>
        <v>0</v>
      </c>
      <c r="V81" s="64">
        <f>1325950+1000000-1000000-550500-88109-687341</f>
        <v>0</v>
      </c>
      <c r="W81" s="64">
        <f>500000-500000</f>
        <v>0</v>
      </c>
      <c r="X81" s="64">
        <f t="shared" si="15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4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5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4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5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118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4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5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4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5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/>
      <c r="I86" s="50"/>
      <c r="J86" s="79"/>
      <c r="K86" s="56">
        <f t="shared" si="14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5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4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5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4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5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</f>
        <v>8169452.62</v>
      </c>
      <c r="I89" s="50">
        <f>H89/D89*100</f>
        <v>51.059078875</v>
      </c>
      <c r="J89" s="79">
        <f>H89/(L89+M89+N89+O89+P89)*100</f>
        <v>101.88890770765778</v>
      </c>
      <c r="K89" s="56">
        <f t="shared" si="14"/>
        <v>18547.37999999989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170000</f>
        <v>170000</v>
      </c>
      <c r="R89" s="64"/>
      <c r="S89" s="64"/>
      <c r="T89" s="65">
        <f>649385.76</f>
        <v>649385.76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5"/>
        <v>16000000</v>
      </c>
      <c r="Y89" s="81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50"/>
      <c r="J90" s="79"/>
      <c r="K90" s="56">
        <f t="shared" si="14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5"/>
        <v>137000</v>
      </c>
      <c r="Y90" s="81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50"/>
      <c r="J91" s="79"/>
      <c r="K91" s="56">
        <f t="shared" si="14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5"/>
        <v>400000</v>
      </c>
      <c r="Y91" s="81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50"/>
      <c r="J92" s="79"/>
      <c r="K92" s="56">
        <f t="shared" si="14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5"/>
        <v>248000</v>
      </c>
      <c r="Y92" s="81">
        <f t="shared" si="16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7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4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5"/>
        <v>13000000</v>
      </c>
      <c r="Y93" s="81">
        <f t="shared" si="16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7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4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5"/>
        <v>3585100</v>
      </c>
      <c r="Y94" s="81">
        <f t="shared" si="16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7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4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5"/>
        <v>300000</v>
      </c>
      <c r="Y95" s="81">
        <f t="shared" si="16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7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50">
        <f>H96/D96*100</f>
        <v>36.632333333333335</v>
      </c>
      <c r="J96" s="79">
        <f>H96/(L96+M96+N96+O96+P96)*100</f>
        <v>99.90636363636364</v>
      </c>
      <c r="K96" s="56">
        <f t="shared" si="14"/>
        <v>103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5"/>
        <v>300000</v>
      </c>
      <c r="Y96" s="81">
        <f t="shared" si="16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7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50">
        <f>H97/D97*100</f>
        <v>25.982451672862457</v>
      </c>
      <c r="J97" s="79"/>
      <c r="K97" s="56">
        <f t="shared" si="14"/>
        <v>20214.410000000003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5"/>
        <v>538000</v>
      </c>
      <c r="Y97" s="81">
        <f t="shared" si="16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7"/>
        <v>5000</v>
      </c>
      <c r="E98" s="6"/>
      <c r="F98" s="25">
        <f t="shared" si="13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4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5"/>
        <v>5000</v>
      </c>
      <c r="Y98" s="81">
        <f t="shared" si="16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7"/>
        <v>20640</v>
      </c>
      <c r="E99" s="6"/>
      <c r="F99" s="25">
        <f t="shared" si="13"/>
        <v>20640</v>
      </c>
      <c r="G99" s="33">
        <v>20640</v>
      </c>
      <c r="H99" s="25"/>
      <c r="I99" s="50"/>
      <c r="J99" s="79"/>
      <c r="K99" s="56">
        <f t="shared" si="14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5"/>
        <v>20640</v>
      </c>
      <c r="Y99" s="81">
        <f t="shared" si="16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7"/>
        <v>250000</v>
      </c>
      <c r="E100" s="6"/>
      <c r="F100" s="25">
        <f t="shared" si="13"/>
        <v>250000</v>
      </c>
      <c r="G100" s="33">
        <v>250000</v>
      </c>
      <c r="H100" s="25"/>
      <c r="I100" s="50"/>
      <c r="J100" s="79"/>
      <c r="K100" s="56">
        <f t="shared" si="14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5"/>
        <v>250000</v>
      </c>
      <c r="Y100" s="81">
        <f t="shared" si="16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7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50"/>
      <c r="J101" s="79"/>
      <c r="K101" s="56">
        <f t="shared" si="14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5"/>
        <v>2050000</v>
      </c>
      <c r="Y101" s="81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64743890.17</v>
      </c>
      <c r="I102" s="48">
        <f>H102/D102*100</f>
        <v>33.17199899006237</v>
      </c>
      <c r="J102" s="79">
        <f>H102/(L102+M102+N102+O102+P102)*100</f>
        <v>98.17406042761627</v>
      </c>
      <c r="K102" s="56">
        <f>L102+M102+N102+O102+P102+Q102-H102</f>
        <v>24503827.14</v>
      </c>
      <c r="L102" s="20">
        <f aca="true" t="shared" si="18" ref="L102:X102">L8+L23+L51</f>
        <v>112816</v>
      </c>
      <c r="M102" s="20">
        <f t="shared" si="18"/>
        <v>3716000</v>
      </c>
      <c r="N102" s="20">
        <f t="shared" si="18"/>
        <v>13424000</v>
      </c>
      <c r="O102" s="20">
        <f t="shared" si="18"/>
        <v>23627301.990000002</v>
      </c>
      <c r="P102" s="20">
        <f t="shared" si="18"/>
        <v>25067943.939999998</v>
      </c>
      <c r="Q102" s="20">
        <f t="shared" si="18"/>
        <v>23299655.38</v>
      </c>
      <c r="R102" s="20">
        <f t="shared" si="18"/>
        <v>33624272.010000005</v>
      </c>
      <c r="S102" s="20">
        <f t="shared" si="18"/>
        <v>21290019.259999998</v>
      </c>
      <c r="T102" s="20">
        <f t="shared" si="18"/>
        <v>7041945.859999999</v>
      </c>
      <c r="U102" s="20">
        <f t="shared" si="18"/>
        <v>19284460.48</v>
      </c>
      <c r="V102" s="20">
        <f t="shared" si="18"/>
        <v>16784185.509999998</v>
      </c>
      <c r="W102" s="20">
        <f t="shared" si="18"/>
        <v>7903729.43</v>
      </c>
      <c r="X102" s="20">
        <f t="shared" si="18"/>
        <v>195176329.86</v>
      </c>
      <c r="Y102" s="81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2016-06-30T12:23:37Z</dcterms:modified>
  <cp:category/>
  <cp:version/>
  <cp:contentType/>
  <cp:contentStatus/>
</cp:coreProperties>
</file>